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GaciarMa\Desktop\BHP-Academy\"/>
    </mc:Choice>
  </mc:AlternateContent>
  <xr:revisionPtr revIDLastSave="0" documentId="13_ncr:1_{300E9ADB-0A4F-4017-B7C4-B8837F216C3F}" xr6:coauthVersionLast="46" xr6:coauthVersionMax="46" xr10:uidLastSave="{00000000-0000-0000-0000-000000000000}"/>
  <bookViews>
    <workbookView xWindow="-108" yWindow="-108" windowWidth="23256" windowHeight="12576" tabRatio="544" xr2:uid="{00000000-000D-0000-FFFF-FFFF00000000}"/>
  </bookViews>
  <sheets>
    <sheet name="Kalkultor_Lehmana" sheetId="4" r:id="rId1"/>
    <sheet name="INFO" sheetId="2" state="veryHidden" r:id="rId2"/>
  </sheets>
  <definedNames>
    <definedName name="max">#REF!</definedName>
    <definedName name="min">#REF!</definedName>
    <definedName name="_xlnm.Print_Area" localSheetId="0">Kalkultor_Lehmana!$A$1:$K$34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E12" i="4"/>
  <c r="E13" i="4"/>
  <c r="E14" i="4"/>
  <c r="E16" i="4"/>
  <c r="E17" i="4"/>
  <c r="E18" i="4"/>
  <c r="E19" i="4"/>
  <c r="C26" i="4" l="1"/>
  <c r="AM6" i="4" l="1"/>
  <c r="I14" i="4" s="1"/>
  <c r="AM7" i="4"/>
  <c r="AM8" i="4"/>
  <c r="AM9" i="4"/>
  <c r="AM10" i="4"/>
  <c r="AM11" i="4"/>
  <c r="AM12" i="4"/>
  <c r="AM13" i="4"/>
  <c r="AM14" i="4"/>
  <c r="AM15" i="4"/>
  <c r="AM16" i="4"/>
  <c r="AM17" i="4"/>
  <c r="AM5" i="4"/>
  <c r="E20" i="4"/>
  <c r="E21" i="4"/>
  <c r="E22" i="4"/>
  <c r="E23" i="4"/>
  <c r="E24" i="4"/>
  <c r="E25" i="4"/>
  <c r="E11" i="4"/>
  <c r="I19" i="4" l="1"/>
  <c r="K19" i="4" s="1"/>
  <c r="I11" i="4"/>
  <c r="K11" i="4" s="1"/>
  <c r="K14" i="4"/>
  <c r="H18" i="4"/>
  <c r="J18" i="4" s="1"/>
  <c r="I24" i="4"/>
  <c r="K24" i="4" s="1"/>
  <c r="I16" i="4"/>
  <c r="K16" i="4" s="1"/>
  <c r="H11" i="4"/>
  <c r="J11" i="4" s="1"/>
  <c r="H25" i="4"/>
  <c r="J25" i="4" s="1"/>
  <c r="H17" i="4"/>
  <c r="J17" i="4" s="1"/>
  <c r="I23" i="4"/>
  <c r="K23" i="4" s="1"/>
  <c r="I15" i="4"/>
  <c r="K15" i="4" s="1"/>
  <c r="H20" i="4"/>
  <c r="J20" i="4" s="1"/>
  <c r="H16" i="4"/>
  <c r="J16" i="4" s="1"/>
  <c r="I22" i="4"/>
  <c r="K22" i="4" s="1"/>
  <c r="H23" i="4"/>
  <c r="J23" i="4" s="1"/>
  <c r="H15" i="4"/>
  <c r="J15" i="4" s="1"/>
  <c r="I21" i="4"/>
  <c r="K21" i="4" s="1"/>
  <c r="I13" i="4"/>
  <c r="K13" i="4" s="1"/>
  <c r="H12" i="4"/>
  <c r="J12" i="4" s="1"/>
  <c r="H19" i="4"/>
  <c r="J19" i="4" s="1"/>
  <c r="I17" i="4"/>
  <c r="K17" i="4" s="1"/>
  <c r="H24" i="4"/>
  <c r="J24" i="4" s="1"/>
  <c r="H22" i="4"/>
  <c r="J22" i="4" s="1"/>
  <c r="H14" i="4"/>
  <c r="J14" i="4" s="1"/>
  <c r="I20" i="4"/>
  <c r="K20" i="4" s="1"/>
  <c r="I12" i="4"/>
  <c r="K12" i="4" s="1"/>
  <c r="I18" i="4"/>
  <c r="K18" i="4" s="1"/>
  <c r="I25" i="4"/>
  <c r="K25" i="4" s="1"/>
  <c r="H21" i="4"/>
  <c r="J21" i="4" s="1"/>
  <c r="H13" i="4"/>
  <c r="J13" i="4" s="1"/>
  <c r="H4" i="4" l="1"/>
  <c r="H6" i="4"/>
  <c r="J6" i="4"/>
  <c r="J4" i="4"/>
  <c r="J5" i="4" s="1"/>
  <c r="H5" i="4" l="1"/>
  <c r="A29" i="4" s="1"/>
  <c r="H7" i="4"/>
  <c r="C29" i="4" s="1"/>
  <c r="J7" i="4"/>
  <c r="F4" i="4" l="1"/>
  <c r="F6" i="4"/>
  <c r="F5" i="4"/>
  <c r="C31" i="4"/>
  <c r="C30" i="4"/>
  <c r="C33" i="4"/>
  <c r="C32" i="4"/>
  <c r="C34" i="4"/>
  <c r="A34" i="4"/>
  <c r="A33" i="4"/>
  <c r="A32" i="4"/>
  <c r="A31" i="4"/>
  <c r="A30" i="4"/>
</calcChain>
</file>

<file path=xl/sharedStrings.xml><?xml version="1.0" encoding="utf-8"?>
<sst xmlns="http://schemas.openxmlformats.org/spreadsheetml/2006/main" count="110" uniqueCount="55">
  <si>
    <t>pozycja ciała</t>
  </si>
  <si>
    <t>lp</t>
  </si>
  <si>
    <t>min</t>
  </si>
  <si>
    <t>kJ/min</t>
  </si>
  <si>
    <t>kJ</t>
  </si>
  <si>
    <t>FIRMA:</t>
  </si>
  <si>
    <t>STANOWISKO/RODZAJ PRACY:</t>
  </si>
  <si>
    <t>WYDZIAŁ/ODDZIAŁ:</t>
  </si>
  <si>
    <t>nazwa czynności</t>
  </si>
  <si>
    <t>do</t>
  </si>
  <si>
    <t>max</t>
  </si>
  <si>
    <t>kcal</t>
  </si>
  <si>
    <t>Korzystanie z aplikacji wymaga włączenia makr!</t>
  </si>
  <si>
    <t>kliknij opcje, a następnie wybierz opcję "włącz tę zawartość"</t>
  </si>
  <si>
    <t>siedząca</t>
  </si>
  <si>
    <t>klęcząca</t>
  </si>
  <si>
    <t>stojąca</t>
  </si>
  <si>
    <t>stojąca pochylona</t>
  </si>
  <si>
    <t>chodzenie</t>
  </si>
  <si>
    <t>Pozycja ciała</t>
  </si>
  <si>
    <t>Rodzaj pracy</t>
  </si>
  <si>
    <t>Ciężkość</t>
  </si>
  <si>
    <t>Praca palców, dłoni i przedramienia</t>
  </si>
  <si>
    <t>ciężkość</t>
  </si>
  <si>
    <t>lekka</t>
  </si>
  <si>
    <t>średnia</t>
  </si>
  <si>
    <t>ciężka</t>
  </si>
  <si>
    <t>Praca jednego ramienia</t>
  </si>
  <si>
    <t>Praca obu ramion</t>
  </si>
  <si>
    <t>Praca całego ciała</t>
  </si>
  <si>
    <t>bardo ciężka</t>
  </si>
  <si>
    <t>wyszukaj</t>
  </si>
  <si>
    <t>maks</t>
  </si>
  <si>
    <t>Podpis osoby wykonującej ocenę:</t>
  </si>
  <si>
    <t>Data aktualizacji</t>
  </si>
  <si>
    <t>Przerwa socjalna</t>
  </si>
  <si>
    <t>SUMA</t>
  </si>
  <si>
    <t>Wartość ryzyka:</t>
  </si>
  <si>
    <t xml:space="preserve">Kwestie nieodpłatnego wydawania posiłków profilaktycznych oraz napojów ze względu na ciężkość i uciążliwość pracy określają przepisy rozporządzenia Rady Ministrów z dn 28.05.1996 (Dz. U. Nr 60, poz. 279) </t>
  </si>
  <si>
    <t>Przygotowanie wózka: sprawdzenie stanu techniczego wózka, uzupełnienie dokumentacji</t>
  </si>
  <si>
    <t>dla kobiet:</t>
  </si>
  <si>
    <t>Wydatek energetyczny netto w ciagu 8h zmiany roboczej:</t>
  </si>
  <si>
    <t>Klasyfikacja ciężkości pracy w ciągu 8h zmiany roboczej:</t>
  </si>
  <si>
    <t>Mężczyzna [kcal]</t>
  </si>
  <si>
    <t>Kobieta [kcal]</t>
  </si>
  <si>
    <r>
      <rPr>
        <b/>
        <sz val="14"/>
        <color theme="1"/>
        <rFont val="Calibri"/>
        <family val="2"/>
        <charset val="238"/>
        <scheme val="minor"/>
      </rPr>
      <t>dla mężczyzn</t>
    </r>
    <r>
      <rPr>
        <b/>
        <sz val="12"/>
        <color theme="1"/>
        <rFont val="Calibri"/>
        <family val="2"/>
        <charset val="238"/>
        <scheme val="minor"/>
      </rPr>
      <t>:</t>
    </r>
  </si>
  <si>
    <t>Obsługa wózka widłowego: prace transpotowe (praca w chłodni)</t>
  </si>
  <si>
    <t>Obsługa wózka widłowego: prace transpotowe.</t>
  </si>
  <si>
    <t>Wyładunek śmieci: opróżnienie koszy ze śmieciami typu folia, makulatura. (praca na zewnątrz)</t>
  </si>
  <si>
    <t>Prace pomocnicze: ręczny rozładunek surowców:
ciężar 20-25kg</t>
  </si>
  <si>
    <t>Prace pomocnicze: ręczny rozładunek surowców:
ciężar do 10kg</t>
  </si>
  <si>
    <t>Wykonywane czynności</t>
  </si>
  <si>
    <t>[min]</t>
  </si>
  <si>
    <t>[kJ/min]</t>
  </si>
  <si>
    <t>[kJ]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</si>
</sst>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8" xfId="0" applyFont="1" applyFill="1" applyBorder="1"/>
    <xf numFmtId="0" fontId="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/>
    </xf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164" fontId="8" fillId="2" borderId="39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64" fontId="7" fillId="7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164" fontId="8" fillId="7" borderId="14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top"/>
    </xf>
    <xf numFmtId="0" fontId="8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" fillId="3" borderId="6" xfId="0" applyFont="1" applyFill="1" applyBorder="1"/>
    <xf numFmtId="0" fontId="12" fillId="4" borderId="25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164" fontId="1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4" fillId="4" borderId="21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4" borderId="31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4" borderId="1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181610</xdr:colOff>
      <xdr:row>4</xdr:row>
      <xdr:rowOff>321945</xdr:rowOff>
    </xdr:from>
    <xdr:to>
      <xdr:col>4</xdr:col>
      <xdr:colOff>433417</xdr:colOff>
      <xdr:row>7</xdr:row>
      <xdr:rowOff>84198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25585A-9D04-4BDB-A3C1-7A61CA04F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3485" y="1591945"/>
          <a:ext cx="3090545" cy="1143378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1</xdr:row>
      <xdr:rowOff>80853</xdr:rowOff>
    </xdr:from>
    <xdr:to>
      <xdr:col>19</xdr:col>
      <xdr:colOff>547478</xdr:colOff>
      <xdr:row>6</xdr:row>
      <xdr:rowOff>125734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6494633-61CA-4E58-9DD1-04730E7E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4100" y="256113"/>
          <a:ext cx="5729078" cy="2259934"/>
        </a:xfrm>
        <a:prstGeom prst="rect">
          <a:avLst/>
        </a:prstGeom>
      </xdr:spPr>
    </xdr:pic>
    <xdr:clientData/>
  </xdr:twoCellAnchor>
  <xdr:twoCellAnchor editAs="oneCell">
    <xdr:from>
      <xdr:col>11</xdr:col>
      <xdr:colOff>317572</xdr:colOff>
      <xdr:row>9</xdr:row>
      <xdr:rowOff>76200</xdr:rowOff>
    </xdr:from>
    <xdr:to>
      <xdr:col>19</xdr:col>
      <xdr:colOff>523875</xdr:colOff>
      <xdr:row>35</xdr:row>
      <xdr:rowOff>74322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75AC906-30DB-40D1-8BBA-FD8D7B8D2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72" y="2711450"/>
          <a:ext cx="5667303" cy="6706897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28</xdr:col>
      <xdr:colOff>579120</xdr:colOff>
      <xdr:row>16</xdr:row>
      <xdr:rowOff>328635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B64E751-90C1-4F01-A66A-3B6ECFE55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04920" y="365760"/>
          <a:ext cx="5273040" cy="5086690"/>
        </a:xfrm>
        <a:prstGeom prst="rect">
          <a:avLst/>
        </a:prstGeom>
      </xdr:spPr>
    </xdr:pic>
    <xdr:clientData/>
  </xdr:twoCellAnchor>
  <xdr:twoCellAnchor editAs="oneCell">
    <xdr:from>
      <xdr:col>20</xdr:col>
      <xdr:colOff>603250</xdr:colOff>
      <xdr:row>18</xdr:row>
      <xdr:rowOff>63500</xdr:rowOff>
    </xdr:from>
    <xdr:to>
      <xdr:col>34</xdr:col>
      <xdr:colOff>41440</xdr:colOff>
      <xdr:row>42</xdr:row>
      <xdr:rowOff>89451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5F1612B-ED6A-4FD4-BA98-4379EE098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542125" y="5873750"/>
          <a:ext cx="8994940" cy="5095848"/>
        </a:xfrm>
        <a:prstGeom prst="rect">
          <a:avLst/>
        </a:prstGeom>
        <a:ln w="57150">
          <a:noFill/>
        </a:ln>
      </xdr:spPr>
    </xdr:pic>
    <xdr:clientData/>
  </xdr:twoCellAnchor>
  <xdr:twoCellAnchor editAs="oneCell">
    <xdr:from>
      <xdr:col>0</xdr:col>
      <xdr:colOff>79375</xdr:colOff>
      <xdr:row>3</xdr:row>
      <xdr:rowOff>0</xdr:rowOff>
    </xdr:from>
    <xdr:to>
      <xdr:col>1</xdr:col>
      <xdr:colOff>3190875</xdr:colOff>
      <xdr:row>6</xdr:row>
      <xdr:rowOff>428626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C9090FD-3608-4339-8E83-A52E64B691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9658" r="31875"/>
        <a:stretch/>
      </xdr:blipFill>
      <xdr:spPr>
        <a:xfrm>
          <a:off x="79375" y="809625"/>
          <a:ext cx="3444875" cy="1809750"/>
        </a:xfrm>
        <a:prstGeom prst="rect">
          <a:avLst/>
        </a:prstGeom>
        <a:ln w="571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144408</xdr:colOff>
      <xdr:row>0</xdr:row>
      <xdr:rowOff>66395</xdr:rowOff>
    </xdr:from>
    <xdr:to>
      <xdr:col>5</xdr:col>
      <xdr:colOff>172983</xdr:colOff>
      <xdr:row>5</xdr:row>
      <xdr:rowOff>163897</xdr:rowOff>
    </xdr:to>
    <xdr:sp macro="" textlink="">
      <xdr:nvSpPr>
        <xdr:cNvPr id="2" name="Strzałka w dół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>
          <a:off x="2887608" y="66395"/>
          <a:ext cx="714375" cy="10023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S34"/>
  <sheetViews>
    <sheetView tabSelected="1" view="pageBreakPreview" topLeftCell="B7" zoomScale="110" zoomScaleNormal="100" zoomScaleSheetLayoutView="110" workbookViewId="0">
      <selection activeCell="F29" sqref="F29"/>
    </sheetView>
  </sheetViews>
  <sheetFormatPr defaultRowHeight="13.8"/>
  <cols>
    <col min="1" max="1" width="4.3984375" customWidth="1"/>
    <col min="2" max="2" width="42.5" customWidth="1"/>
    <col min="3" max="3" width="5.19921875" customWidth="1"/>
    <col min="4" max="4" width="32.09765625" customWidth="1"/>
    <col min="5" max="5" width="6.59765625" customWidth="1"/>
    <col min="6" max="6" width="27.19921875" customWidth="1"/>
    <col min="7" max="7" width="13.8984375" customWidth="1"/>
    <col min="8" max="11" width="7.3984375" customWidth="1"/>
    <col min="39" max="39" width="35.8984375" bestFit="1" customWidth="1"/>
    <col min="40" max="40" width="31.19921875" bestFit="1" customWidth="1"/>
    <col min="41" max="41" width="11.69921875" bestFit="1" customWidth="1"/>
  </cols>
  <sheetData>
    <row r="1" spans="1:45" ht="21" customHeight="1">
      <c r="A1" s="95" t="s">
        <v>5</v>
      </c>
      <c r="B1" s="96"/>
      <c r="C1" s="100" t="s">
        <v>7</v>
      </c>
      <c r="D1" s="100"/>
      <c r="E1" s="100"/>
      <c r="F1" s="97" t="s">
        <v>6</v>
      </c>
      <c r="G1" s="98"/>
      <c r="H1" s="98"/>
      <c r="I1" s="98"/>
      <c r="J1" s="98"/>
      <c r="K1" s="99"/>
    </row>
    <row r="2" spans="1:45" ht="46.5" customHeight="1" thickBot="1">
      <c r="A2" s="123"/>
      <c r="B2" s="124"/>
      <c r="C2" s="101"/>
      <c r="D2" s="101"/>
      <c r="E2" s="101"/>
      <c r="F2" s="108"/>
      <c r="G2" s="109"/>
      <c r="H2" s="109"/>
      <c r="I2" s="109"/>
      <c r="J2" s="109"/>
      <c r="K2" s="110"/>
    </row>
    <row r="3" spans="1:45" ht="18">
      <c r="A3" s="3"/>
      <c r="B3" s="4"/>
      <c r="C3" s="111" t="s">
        <v>38</v>
      </c>
      <c r="D3" s="112"/>
      <c r="E3" s="113"/>
      <c r="F3" s="5" t="s">
        <v>37</v>
      </c>
      <c r="G3" s="120" t="s">
        <v>41</v>
      </c>
      <c r="H3" s="121"/>
      <c r="I3" s="121"/>
      <c r="J3" s="121"/>
      <c r="K3" s="122"/>
    </row>
    <row r="4" spans="1:45" ht="36.75" customHeight="1">
      <c r="A4" s="6"/>
      <c r="B4" s="7"/>
      <c r="C4" s="114"/>
      <c r="D4" s="115"/>
      <c r="E4" s="116"/>
      <c r="F4" s="8" t="str">
        <f>IF($H$5&lt;1500,"Stopień ryzyka mały","")</f>
        <v>Stopień ryzyka mały</v>
      </c>
      <c r="G4" s="104" t="s">
        <v>45</v>
      </c>
      <c r="H4" s="9">
        <f>SUM(J11:J41)</f>
        <v>5228</v>
      </c>
      <c r="I4" s="10" t="s">
        <v>9</v>
      </c>
      <c r="J4" s="9">
        <f>SUM(K11:K41)</f>
        <v>8486</v>
      </c>
      <c r="K4" s="11" t="s">
        <v>4</v>
      </c>
      <c r="AM4" t="s">
        <v>31</v>
      </c>
      <c r="AN4" t="s">
        <v>20</v>
      </c>
      <c r="AO4" t="s">
        <v>23</v>
      </c>
      <c r="AP4" t="s">
        <v>3</v>
      </c>
      <c r="AQ4" t="s">
        <v>32</v>
      </c>
    </row>
    <row r="5" spans="1:45" ht="36.75" customHeight="1">
      <c r="A5" s="6"/>
      <c r="B5" s="12"/>
      <c r="C5" s="114"/>
      <c r="D5" s="115"/>
      <c r="E5" s="116"/>
      <c r="F5" s="13" t="str">
        <f>IF(AND($H$5&gt;1500,$H$5&lt;2000),"Stopień ryzyka średni"," ")</f>
        <v xml:space="preserve"> </v>
      </c>
      <c r="G5" s="105"/>
      <c r="H5" s="14">
        <f>PRODUCT($H$4,0.24)</f>
        <v>1254.72</v>
      </c>
      <c r="I5" s="15" t="s">
        <v>9</v>
      </c>
      <c r="J5" s="16">
        <f>PRODUCT($J$4,0.24)</f>
        <v>2036.6399999999999</v>
      </c>
      <c r="K5" s="17" t="s">
        <v>11</v>
      </c>
      <c r="AJ5" t="s">
        <v>19</v>
      </c>
      <c r="AK5" t="s">
        <v>3</v>
      </c>
      <c r="AM5" t="str">
        <f>_xlfn.CONCAT(AN5,AO5)</f>
        <v>Praca palców, dłoni i przedramienialekka</v>
      </c>
      <c r="AN5" t="s">
        <v>22</v>
      </c>
      <c r="AO5" t="s">
        <v>24</v>
      </c>
      <c r="AP5">
        <v>1.7</v>
      </c>
      <c r="AQ5">
        <v>5</v>
      </c>
      <c r="AS5" t="s">
        <v>22</v>
      </c>
    </row>
    <row r="6" spans="1:45" ht="36.75" customHeight="1">
      <c r="A6" s="6"/>
      <c r="B6" s="18"/>
      <c r="C6" s="114"/>
      <c r="D6" s="115"/>
      <c r="E6" s="116"/>
      <c r="F6" s="19" t="str">
        <f>IF(AND($H$5&gt;2000),"Stopień ryzyka duży"," ")</f>
        <v xml:space="preserve"> </v>
      </c>
      <c r="G6" s="106" t="s">
        <v>40</v>
      </c>
      <c r="H6" s="20">
        <f>PRODUCT(SUM($J$11:$J$40),0.8)</f>
        <v>4182.4000000000005</v>
      </c>
      <c r="I6" s="21" t="s">
        <v>9</v>
      </c>
      <c r="J6" s="20">
        <f>PRODUCT(SUM($K$11:$K$40),0.8)</f>
        <v>6788.8</v>
      </c>
      <c r="K6" s="22" t="s">
        <v>4</v>
      </c>
      <c r="AJ6" t="s">
        <v>14</v>
      </c>
      <c r="AK6">
        <v>1.3</v>
      </c>
      <c r="AM6" t="str">
        <f t="shared" ref="AM6:AM17" si="0">_xlfn.CONCAT(AN6,AO6)</f>
        <v>Praca palców, dłoni i przedramieniaśrednia</v>
      </c>
      <c r="AN6" t="s">
        <v>22</v>
      </c>
      <c r="AO6" t="s">
        <v>25</v>
      </c>
      <c r="AP6">
        <v>2.9</v>
      </c>
      <c r="AQ6">
        <v>5</v>
      </c>
      <c r="AS6" t="s">
        <v>27</v>
      </c>
    </row>
    <row r="7" spans="1:45" ht="36.75" customHeight="1" thickBot="1">
      <c r="A7" s="6"/>
      <c r="B7" s="12"/>
      <c r="C7" s="114"/>
      <c r="D7" s="115"/>
      <c r="E7" s="116"/>
      <c r="F7" s="12"/>
      <c r="G7" s="107"/>
      <c r="H7" s="23">
        <f>PRODUCT($H$4,0.8,0.24)</f>
        <v>1003.7760000000001</v>
      </c>
      <c r="I7" s="24" t="s">
        <v>9</v>
      </c>
      <c r="J7" s="25">
        <f>PRODUCT($J$4,0.8,0.24)</f>
        <v>1629.3119999999999</v>
      </c>
      <c r="K7" s="26" t="s">
        <v>11</v>
      </c>
      <c r="AJ7" t="s">
        <v>15</v>
      </c>
      <c r="AK7">
        <v>2.1</v>
      </c>
      <c r="AM7" t="str">
        <f t="shared" si="0"/>
        <v>Praca palców, dłoni i przedramieniaciężka</v>
      </c>
      <c r="AN7" t="s">
        <v>22</v>
      </c>
      <c r="AO7" t="s">
        <v>26</v>
      </c>
      <c r="AP7">
        <v>3.8</v>
      </c>
      <c r="AQ7">
        <v>5</v>
      </c>
      <c r="AS7" t="s">
        <v>28</v>
      </c>
    </row>
    <row r="8" spans="1:45" ht="15" thickBot="1">
      <c r="A8" s="27"/>
      <c r="B8" s="28"/>
      <c r="C8" s="117"/>
      <c r="D8" s="118"/>
      <c r="E8" s="119"/>
      <c r="F8" s="29"/>
      <c r="G8" s="29"/>
      <c r="H8" s="29"/>
      <c r="I8" s="29"/>
      <c r="J8" s="29"/>
      <c r="K8" s="30"/>
      <c r="AJ8" t="s">
        <v>16</v>
      </c>
      <c r="AK8">
        <v>2.5</v>
      </c>
      <c r="AM8" t="str">
        <f t="shared" si="0"/>
        <v>Praca jednego ramienialekka</v>
      </c>
      <c r="AN8" t="s">
        <v>27</v>
      </c>
      <c r="AO8" t="s">
        <v>24</v>
      </c>
      <c r="AP8">
        <v>4.2</v>
      </c>
      <c r="AQ8">
        <v>10.5</v>
      </c>
      <c r="AS8" t="s">
        <v>29</v>
      </c>
    </row>
    <row r="9" spans="1:45" ht="14.4">
      <c r="A9" s="126" t="s">
        <v>1</v>
      </c>
      <c r="B9" s="57" t="s">
        <v>51</v>
      </c>
      <c r="C9" s="132" t="s">
        <v>52</v>
      </c>
      <c r="D9" s="102" t="s">
        <v>0</v>
      </c>
      <c r="E9" s="132" t="s">
        <v>53</v>
      </c>
      <c r="F9" s="128" t="s">
        <v>20</v>
      </c>
      <c r="G9" s="130" t="s">
        <v>21</v>
      </c>
      <c r="H9" s="59" t="s">
        <v>2</v>
      </c>
      <c r="I9" s="60" t="s">
        <v>10</v>
      </c>
      <c r="J9" s="61" t="s">
        <v>2</v>
      </c>
      <c r="K9" s="62" t="s">
        <v>10</v>
      </c>
      <c r="AJ9" t="s">
        <v>17</v>
      </c>
      <c r="AK9">
        <v>3.3</v>
      </c>
      <c r="AM9" t="str">
        <f t="shared" si="0"/>
        <v>Praca jednego ramieniaśrednia</v>
      </c>
      <c r="AN9" t="s">
        <v>27</v>
      </c>
      <c r="AO9" t="s">
        <v>25</v>
      </c>
      <c r="AP9">
        <v>5.9</v>
      </c>
      <c r="AQ9">
        <v>10.5</v>
      </c>
    </row>
    <row r="10" spans="1:45" ht="14.4" thickBot="1">
      <c r="A10" s="127"/>
      <c r="B10" s="31" t="s">
        <v>8</v>
      </c>
      <c r="C10" s="133"/>
      <c r="D10" s="103"/>
      <c r="E10" s="133"/>
      <c r="F10" s="129"/>
      <c r="G10" s="131"/>
      <c r="H10" s="32" t="s">
        <v>53</v>
      </c>
      <c r="I10" s="32" t="s">
        <v>53</v>
      </c>
      <c r="J10" s="58" t="s">
        <v>54</v>
      </c>
      <c r="K10" s="33" t="s">
        <v>54</v>
      </c>
      <c r="AJ10" t="s">
        <v>18</v>
      </c>
      <c r="AK10">
        <v>10.5</v>
      </c>
      <c r="AM10" t="str">
        <f t="shared" si="0"/>
        <v>Praca jednego ramieniaciężka</v>
      </c>
      <c r="AN10" t="s">
        <v>27</v>
      </c>
      <c r="AO10" t="s">
        <v>26</v>
      </c>
      <c r="AP10">
        <v>7.6</v>
      </c>
      <c r="AQ10">
        <v>10.5</v>
      </c>
    </row>
    <row r="11" spans="1:45" ht="28.8">
      <c r="A11" s="34">
        <v>1</v>
      </c>
      <c r="B11" s="35" t="s">
        <v>46</v>
      </c>
      <c r="C11" s="36">
        <v>180</v>
      </c>
      <c r="D11" s="37" t="s">
        <v>14</v>
      </c>
      <c r="E11" s="38">
        <f>IFERROR(VLOOKUP(D11,$AJ$5:$AK$10,2,0),0)</f>
        <v>1.3</v>
      </c>
      <c r="F11" s="39" t="s">
        <v>28</v>
      </c>
      <c r="G11" s="37" t="s">
        <v>25</v>
      </c>
      <c r="H11" s="36">
        <f>IFERROR(VLOOKUP(F11&amp;G11,$AM$4:$AQ$17,4,0),0)</f>
        <v>8.4</v>
      </c>
      <c r="I11" s="36">
        <f>IFERROR(VLOOKUP(F11&amp;G11,$AM$4:$AQ$17,5,0),0)</f>
        <v>14.7</v>
      </c>
      <c r="J11" s="36">
        <f>C11*(E11+H11)</f>
        <v>1746.0000000000002</v>
      </c>
      <c r="K11" s="40">
        <f>C11*(E11+I11)</f>
        <v>2880</v>
      </c>
      <c r="AM11" t="str">
        <f t="shared" si="0"/>
        <v>Praca obu ramionlekka</v>
      </c>
      <c r="AN11" t="s">
        <v>28</v>
      </c>
      <c r="AO11" t="s">
        <v>24</v>
      </c>
      <c r="AP11">
        <v>6.3</v>
      </c>
      <c r="AQ11">
        <v>14.7</v>
      </c>
    </row>
    <row r="12" spans="1:45" ht="28.8">
      <c r="A12" s="41">
        <v>2</v>
      </c>
      <c r="B12" s="42" t="s">
        <v>39</v>
      </c>
      <c r="C12" s="43">
        <v>20</v>
      </c>
      <c r="D12" s="44" t="s">
        <v>18</v>
      </c>
      <c r="E12" s="45">
        <f t="shared" ref="E12:E19" si="1">IFERROR(VLOOKUP(D12,$AJ$5:$AK$10,2,0),0)</f>
        <v>10.5</v>
      </c>
      <c r="F12" s="46" t="s">
        <v>28</v>
      </c>
      <c r="G12" s="47" t="s">
        <v>24</v>
      </c>
      <c r="H12" s="48">
        <f t="shared" ref="H12:H25" si="2">IFERROR(VLOOKUP(F12&amp;G12,$AM$4:$AQ$17,4,0),0)</f>
        <v>6.3</v>
      </c>
      <c r="I12" s="48">
        <f t="shared" ref="I12:I25" si="3">IFERROR(VLOOKUP(F12&amp;G12,$AM$4:$AQ$17,5,0),0)</f>
        <v>14.7</v>
      </c>
      <c r="J12" s="43">
        <f>C12*(E12+H12)</f>
        <v>336</v>
      </c>
      <c r="K12" s="49">
        <f t="shared" ref="K12:K25" si="4">C12*(E12+I12)</f>
        <v>504</v>
      </c>
      <c r="AM12" t="str">
        <f t="shared" si="0"/>
        <v>Praca obu ramionśrednia</v>
      </c>
      <c r="AN12" t="s">
        <v>28</v>
      </c>
      <c r="AO12" t="s">
        <v>25</v>
      </c>
      <c r="AP12">
        <v>8.4</v>
      </c>
      <c r="AQ12">
        <v>14.7</v>
      </c>
    </row>
    <row r="13" spans="1:45" ht="19.5" customHeight="1">
      <c r="A13" s="41">
        <v>3</v>
      </c>
      <c r="B13" s="42" t="s">
        <v>47</v>
      </c>
      <c r="C13" s="43">
        <v>140</v>
      </c>
      <c r="D13" s="44" t="s">
        <v>14</v>
      </c>
      <c r="E13" s="45">
        <f t="shared" si="1"/>
        <v>1.3</v>
      </c>
      <c r="F13" s="46" t="s">
        <v>28</v>
      </c>
      <c r="G13" s="47" t="s">
        <v>24</v>
      </c>
      <c r="H13" s="48">
        <f t="shared" si="2"/>
        <v>6.3</v>
      </c>
      <c r="I13" s="48">
        <f t="shared" si="3"/>
        <v>14.7</v>
      </c>
      <c r="J13" s="43">
        <f t="shared" ref="J13:J25" si="5">C13*(E13+H13)</f>
        <v>1064</v>
      </c>
      <c r="K13" s="49">
        <f t="shared" si="4"/>
        <v>2240</v>
      </c>
      <c r="AM13" t="str">
        <f t="shared" si="0"/>
        <v>Praca obu ramionciężka</v>
      </c>
      <c r="AN13" t="s">
        <v>28</v>
      </c>
      <c r="AO13" t="s">
        <v>26</v>
      </c>
      <c r="AP13">
        <v>10.5</v>
      </c>
      <c r="AQ13">
        <v>14.7</v>
      </c>
    </row>
    <row r="14" spans="1:45" ht="28.8">
      <c r="A14" s="41">
        <v>4</v>
      </c>
      <c r="B14" s="42" t="s">
        <v>48</v>
      </c>
      <c r="C14" s="43">
        <v>40</v>
      </c>
      <c r="D14" s="44" t="s">
        <v>17</v>
      </c>
      <c r="E14" s="45">
        <f t="shared" si="1"/>
        <v>3.3</v>
      </c>
      <c r="F14" s="46" t="s">
        <v>28</v>
      </c>
      <c r="G14" s="47" t="s">
        <v>24</v>
      </c>
      <c r="H14" s="48">
        <f t="shared" si="2"/>
        <v>6.3</v>
      </c>
      <c r="I14" s="48">
        <f t="shared" si="3"/>
        <v>14.7</v>
      </c>
      <c r="J14" s="43">
        <f t="shared" si="5"/>
        <v>384</v>
      </c>
      <c r="K14" s="49">
        <f t="shared" si="4"/>
        <v>720</v>
      </c>
      <c r="AM14" t="str">
        <f t="shared" si="0"/>
        <v>Praca całego ciałalekka</v>
      </c>
      <c r="AN14" t="s">
        <v>29</v>
      </c>
      <c r="AO14" t="s">
        <v>24</v>
      </c>
      <c r="AP14">
        <v>14.7</v>
      </c>
      <c r="AQ14">
        <v>63</v>
      </c>
    </row>
    <row r="15" spans="1:45" ht="18.75" customHeight="1">
      <c r="A15" s="41">
        <v>5</v>
      </c>
      <c r="B15" s="42" t="s">
        <v>35</v>
      </c>
      <c r="C15" s="43">
        <v>20</v>
      </c>
      <c r="D15" s="44" t="s">
        <v>14</v>
      </c>
      <c r="E15" s="45">
        <f t="shared" si="1"/>
        <v>1.3</v>
      </c>
      <c r="F15" s="46" t="s">
        <v>22</v>
      </c>
      <c r="G15" s="47" t="s">
        <v>24</v>
      </c>
      <c r="H15" s="48">
        <f t="shared" si="2"/>
        <v>1.7</v>
      </c>
      <c r="I15" s="48">
        <f t="shared" si="3"/>
        <v>5</v>
      </c>
      <c r="J15" s="43">
        <f t="shared" si="5"/>
        <v>60</v>
      </c>
      <c r="K15" s="49">
        <f t="shared" si="4"/>
        <v>126</v>
      </c>
      <c r="AM15" t="str">
        <f t="shared" si="0"/>
        <v>Praca całego ciałaśrednia</v>
      </c>
      <c r="AN15" t="s">
        <v>29</v>
      </c>
      <c r="AO15" t="s">
        <v>25</v>
      </c>
      <c r="AP15">
        <v>21</v>
      </c>
      <c r="AQ15">
        <v>63</v>
      </c>
    </row>
    <row r="16" spans="1:45" ht="28.8">
      <c r="A16" s="41">
        <v>6</v>
      </c>
      <c r="B16" s="42" t="s">
        <v>49</v>
      </c>
      <c r="C16" s="43">
        <v>60</v>
      </c>
      <c r="D16" s="44" t="s">
        <v>18</v>
      </c>
      <c r="E16" s="45">
        <f t="shared" si="1"/>
        <v>10.5</v>
      </c>
      <c r="F16" s="46" t="s">
        <v>28</v>
      </c>
      <c r="G16" s="47" t="s">
        <v>26</v>
      </c>
      <c r="H16" s="48">
        <f t="shared" si="2"/>
        <v>10.5</v>
      </c>
      <c r="I16" s="48">
        <f t="shared" si="3"/>
        <v>14.7</v>
      </c>
      <c r="J16" s="43">
        <f t="shared" si="5"/>
        <v>1260</v>
      </c>
      <c r="K16" s="49">
        <f t="shared" si="4"/>
        <v>1512</v>
      </c>
      <c r="AM16" t="str">
        <f t="shared" si="0"/>
        <v>Praca całego ciałaciężka</v>
      </c>
      <c r="AN16" t="s">
        <v>29</v>
      </c>
      <c r="AO16" t="s">
        <v>26</v>
      </c>
      <c r="AP16">
        <v>29.4</v>
      </c>
      <c r="AQ16">
        <v>63</v>
      </c>
    </row>
    <row r="17" spans="1:43" ht="28.8">
      <c r="A17" s="41">
        <v>7</v>
      </c>
      <c r="B17" s="42" t="s">
        <v>50</v>
      </c>
      <c r="C17" s="43">
        <v>20</v>
      </c>
      <c r="D17" s="44" t="s">
        <v>18</v>
      </c>
      <c r="E17" s="45">
        <f t="shared" si="1"/>
        <v>10.5</v>
      </c>
      <c r="F17" s="46" t="s">
        <v>28</v>
      </c>
      <c r="G17" s="47" t="s">
        <v>25</v>
      </c>
      <c r="H17" s="48">
        <f t="shared" si="2"/>
        <v>8.4</v>
      </c>
      <c r="I17" s="48">
        <f t="shared" si="3"/>
        <v>14.7</v>
      </c>
      <c r="J17" s="43">
        <f t="shared" si="5"/>
        <v>378</v>
      </c>
      <c r="K17" s="49">
        <f t="shared" si="4"/>
        <v>504</v>
      </c>
      <c r="AM17" t="str">
        <f t="shared" si="0"/>
        <v>Praca całego ciałabardo ciężka</v>
      </c>
      <c r="AN17" t="s">
        <v>29</v>
      </c>
      <c r="AO17" t="s">
        <v>30</v>
      </c>
      <c r="AP17">
        <v>37.799999999999997</v>
      </c>
      <c r="AQ17">
        <v>63</v>
      </c>
    </row>
    <row r="18" spans="1:43" ht="25.5" customHeight="1">
      <c r="A18" s="41">
        <v>8</v>
      </c>
      <c r="B18" s="42"/>
      <c r="C18" s="43"/>
      <c r="D18" s="44"/>
      <c r="E18" s="45">
        <f t="shared" si="1"/>
        <v>0</v>
      </c>
      <c r="F18" s="46"/>
      <c r="G18" s="47"/>
      <c r="H18" s="48">
        <f t="shared" si="2"/>
        <v>0</v>
      </c>
      <c r="I18" s="48">
        <f t="shared" si="3"/>
        <v>0</v>
      </c>
      <c r="J18" s="43">
        <f t="shared" si="5"/>
        <v>0</v>
      </c>
      <c r="K18" s="49">
        <f t="shared" si="4"/>
        <v>0</v>
      </c>
    </row>
    <row r="19" spans="1:43" ht="23.25" customHeight="1">
      <c r="A19" s="41">
        <v>9</v>
      </c>
      <c r="B19" s="42"/>
      <c r="C19" s="43"/>
      <c r="D19" s="44"/>
      <c r="E19" s="45">
        <f t="shared" si="1"/>
        <v>0</v>
      </c>
      <c r="F19" s="46"/>
      <c r="G19" s="47"/>
      <c r="H19" s="48">
        <f t="shared" si="2"/>
        <v>0</v>
      </c>
      <c r="I19" s="48">
        <f t="shared" si="3"/>
        <v>0</v>
      </c>
      <c r="J19" s="43">
        <f t="shared" si="5"/>
        <v>0</v>
      </c>
      <c r="K19" s="49">
        <f t="shared" si="4"/>
        <v>0</v>
      </c>
    </row>
    <row r="20" spans="1:43" ht="25.5" customHeight="1">
      <c r="A20" s="41">
        <v>10</v>
      </c>
      <c r="B20" s="42"/>
      <c r="C20" s="43"/>
      <c r="D20" s="44"/>
      <c r="E20" s="45">
        <f t="shared" ref="E20:E25" si="6">IFERROR(VLOOKUP(D20,$AJ$5:$AK$10,2,0),0)</f>
        <v>0</v>
      </c>
      <c r="F20" s="46"/>
      <c r="G20" s="47"/>
      <c r="H20" s="48">
        <f t="shared" si="2"/>
        <v>0</v>
      </c>
      <c r="I20" s="48">
        <f t="shared" si="3"/>
        <v>0</v>
      </c>
      <c r="J20" s="43">
        <f t="shared" si="5"/>
        <v>0</v>
      </c>
      <c r="K20" s="49">
        <f t="shared" si="4"/>
        <v>0</v>
      </c>
    </row>
    <row r="21" spans="1:43" ht="20.25" customHeight="1">
      <c r="A21" s="41">
        <v>11</v>
      </c>
      <c r="B21" s="42"/>
      <c r="C21" s="43"/>
      <c r="D21" s="44"/>
      <c r="E21" s="45">
        <f t="shared" si="6"/>
        <v>0</v>
      </c>
      <c r="F21" s="46"/>
      <c r="G21" s="47"/>
      <c r="H21" s="48">
        <f t="shared" si="2"/>
        <v>0</v>
      </c>
      <c r="I21" s="48">
        <f t="shared" si="3"/>
        <v>0</v>
      </c>
      <c r="J21" s="43">
        <f t="shared" si="5"/>
        <v>0</v>
      </c>
      <c r="K21" s="49">
        <f t="shared" si="4"/>
        <v>0</v>
      </c>
    </row>
    <row r="22" spans="1:43" ht="20.25" customHeight="1">
      <c r="A22" s="41">
        <v>12</v>
      </c>
      <c r="B22" s="42"/>
      <c r="C22" s="43"/>
      <c r="D22" s="44"/>
      <c r="E22" s="45">
        <f t="shared" si="6"/>
        <v>0</v>
      </c>
      <c r="F22" s="46"/>
      <c r="G22" s="47"/>
      <c r="H22" s="48">
        <f t="shared" si="2"/>
        <v>0</v>
      </c>
      <c r="I22" s="48">
        <f t="shared" si="3"/>
        <v>0</v>
      </c>
      <c r="J22" s="43">
        <f t="shared" si="5"/>
        <v>0</v>
      </c>
      <c r="K22" s="49">
        <f t="shared" si="4"/>
        <v>0</v>
      </c>
    </row>
    <row r="23" spans="1:43" ht="20.25" customHeight="1">
      <c r="A23" s="41">
        <v>13</v>
      </c>
      <c r="B23" s="42"/>
      <c r="C23" s="43"/>
      <c r="D23" s="44"/>
      <c r="E23" s="45">
        <f t="shared" si="6"/>
        <v>0</v>
      </c>
      <c r="F23" s="46"/>
      <c r="G23" s="47"/>
      <c r="H23" s="48">
        <f t="shared" si="2"/>
        <v>0</v>
      </c>
      <c r="I23" s="48">
        <f t="shared" si="3"/>
        <v>0</v>
      </c>
      <c r="J23" s="43">
        <f t="shared" si="5"/>
        <v>0</v>
      </c>
      <c r="K23" s="49">
        <f t="shared" si="4"/>
        <v>0</v>
      </c>
    </row>
    <row r="24" spans="1:43" ht="20.25" customHeight="1">
      <c r="A24" s="41">
        <v>14</v>
      </c>
      <c r="B24" s="42"/>
      <c r="C24" s="43"/>
      <c r="D24" s="44"/>
      <c r="E24" s="45">
        <f t="shared" si="6"/>
        <v>0</v>
      </c>
      <c r="F24" s="46"/>
      <c r="G24" s="47"/>
      <c r="H24" s="48">
        <f t="shared" si="2"/>
        <v>0</v>
      </c>
      <c r="I24" s="48">
        <f t="shared" si="3"/>
        <v>0</v>
      </c>
      <c r="J24" s="43">
        <f t="shared" si="5"/>
        <v>0</v>
      </c>
      <c r="K24" s="49">
        <f t="shared" si="4"/>
        <v>0</v>
      </c>
    </row>
    <row r="25" spans="1:43" ht="20.25" customHeight="1" thickBot="1">
      <c r="A25" s="41">
        <v>15</v>
      </c>
      <c r="B25" s="72"/>
      <c r="C25" s="67"/>
      <c r="D25" s="50"/>
      <c r="E25" s="63">
        <f t="shared" si="6"/>
        <v>0</v>
      </c>
      <c r="F25" s="64"/>
      <c r="G25" s="65"/>
      <c r="H25" s="66">
        <f t="shared" si="2"/>
        <v>0</v>
      </c>
      <c r="I25" s="66">
        <f t="shared" si="3"/>
        <v>0</v>
      </c>
      <c r="J25" s="67">
        <f t="shared" si="5"/>
        <v>0</v>
      </c>
      <c r="K25" s="68">
        <f t="shared" si="4"/>
        <v>0</v>
      </c>
    </row>
    <row r="26" spans="1:43" ht="15" thickBot="1">
      <c r="A26" s="71"/>
      <c r="B26" s="73" t="s">
        <v>36</v>
      </c>
      <c r="C26" s="74">
        <f>SUM(C11:C25)</f>
        <v>480</v>
      </c>
      <c r="D26" s="69"/>
      <c r="E26" s="70"/>
      <c r="F26" s="70"/>
      <c r="G26" s="69"/>
      <c r="H26" s="69"/>
      <c r="I26" s="69"/>
      <c r="J26" s="69"/>
      <c r="K26" s="75"/>
    </row>
    <row r="27" spans="1:43" ht="21" customHeight="1">
      <c r="A27" s="80" t="s">
        <v>42</v>
      </c>
      <c r="B27" s="81"/>
      <c r="C27" s="81"/>
      <c r="D27" s="82"/>
      <c r="E27" s="52"/>
      <c r="F27" s="51" t="s">
        <v>33</v>
      </c>
      <c r="G27" s="125" t="s">
        <v>34</v>
      </c>
      <c r="H27" s="125"/>
      <c r="I27" s="52"/>
      <c r="J27" s="52"/>
      <c r="K27" s="54"/>
    </row>
    <row r="28" spans="1:43" ht="14.4">
      <c r="A28" s="78" t="s">
        <v>43</v>
      </c>
      <c r="B28" s="79"/>
      <c r="C28" s="79" t="s">
        <v>44</v>
      </c>
      <c r="D28" s="88"/>
      <c r="E28" s="52"/>
      <c r="F28" s="52"/>
      <c r="G28" s="53"/>
      <c r="H28" s="52"/>
      <c r="I28" s="52"/>
      <c r="J28" s="52"/>
      <c r="K28" s="54"/>
    </row>
    <row r="29" spans="1:43" ht="15" thickBot="1">
      <c r="A29" s="91">
        <f>H5</f>
        <v>1254.72</v>
      </c>
      <c r="B29" s="92"/>
      <c r="C29" s="93">
        <f>H7</f>
        <v>1003.7760000000001</v>
      </c>
      <c r="D29" s="94"/>
      <c r="E29" s="52"/>
      <c r="F29" s="52"/>
      <c r="G29" s="53"/>
      <c r="H29" s="52"/>
      <c r="I29" s="52"/>
      <c r="J29" s="52"/>
      <c r="K29" s="54"/>
    </row>
    <row r="30" spans="1:43" ht="14.4">
      <c r="A30" s="83" t="str">
        <f>IF($H$5&lt;300," Bardzo Lekka","")</f>
        <v/>
      </c>
      <c r="B30" s="84"/>
      <c r="C30" s="89" t="str">
        <f>IF($H$7&lt;200," Bardzo Lekka","")</f>
        <v/>
      </c>
      <c r="D30" s="84"/>
      <c r="E30" s="52"/>
      <c r="F30" s="52"/>
      <c r="G30" s="52"/>
      <c r="H30" s="52"/>
      <c r="I30" s="52"/>
      <c r="J30" s="52"/>
      <c r="K30" s="54"/>
    </row>
    <row r="31" spans="1:43" ht="14.4">
      <c r="A31" s="85" t="str">
        <f>IF(AND($H$5&gt;300,$H$5&lt;800),"Lekka"," ")</f>
        <v xml:space="preserve"> </v>
      </c>
      <c r="B31" s="86"/>
      <c r="C31" s="90" t="str">
        <f>IF(AND($H$7&gt;200,$H$5&lt;700),"Lekka"," ")</f>
        <v xml:space="preserve"> </v>
      </c>
      <c r="D31" s="86"/>
      <c r="E31" s="52"/>
      <c r="F31" s="52"/>
      <c r="G31" s="52"/>
      <c r="H31" s="52"/>
      <c r="I31" s="52"/>
      <c r="J31" s="52"/>
      <c r="K31" s="54"/>
    </row>
    <row r="32" spans="1:43" ht="14.4">
      <c r="A32" s="85" t="str">
        <f>IF(AND($H$5&gt;800,$H$5&lt;1500),"Umiarkowana"," ")</f>
        <v>Umiarkowana</v>
      </c>
      <c r="B32" s="86"/>
      <c r="C32" s="90" t="str">
        <f>IF(AND($H$7&gt;700,$H$7&lt;1000),"Umiarkowana"," ")</f>
        <v xml:space="preserve"> </v>
      </c>
      <c r="D32" s="86"/>
      <c r="E32" s="52"/>
      <c r="F32" s="52"/>
      <c r="G32" s="52"/>
      <c r="H32" s="52"/>
      <c r="I32" s="52"/>
      <c r="J32" s="52"/>
      <c r="K32" s="54"/>
    </row>
    <row r="33" spans="1:11" ht="14.4">
      <c r="A33" s="85" t="str">
        <f>IF(AND($H$5&gt;1500,$H$5&lt;2000),"Ciężka"," ")</f>
        <v xml:space="preserve"> </v>
      </c>
      <c r="B33" s="86"/>
      <c r="C33" s="90" t="str">
        <f>IF(AND($H$7&gt;1000,$H$7&lt;1200),"Ciężka"," ")</f>
        <v>Ciężka</v>
      </c>
      <c r="D33" s="86"/>
      <c r="E33" s="52"/>
      <c r="F33" s="52"/>
      <c r="G33" s="52"/>
      <c r="H33" s="52"/>
      <c r="I33" s="52"/>
      <c r="J33" s="52"/>
      <c r="K33" s="54"/>
    </row>
    <row r="34" spans="1:11" ht="15" thickBot="1">
      <c r="A34" s="87" t="str">
        <f>IF(AND($H$5&gt;2000),"Bardzo ciężka"," ")</f>
        <v xml:space="preserve"> </v>
      </c>
      <c r="B34" s="77"/>
      <c r="C34" s="76" t="str">
        <f>IF(AND($H$7&gt;1200),"Bardzo ciężka"," ")</f>
        <v xml:space="preserve"> </v>
      </c>
      <c r="D34" s="77"/>
      <c r="E34" s="55"/>
      <c r="F34" s="55"/>
      <c r="G34" s="55"/>
      <c r="H34" s="55"/>
      <c r="I34" s="55"/>
      <c r="J34" s="55"/>
      <c r="K34" s="56"/>
    </row>
  </sheetData>
  <mergeCells count="32">
    <mergeCell ref="G27:H27"/>
    <mergeCell ref="A9:A10"/>
    <mergeCell ref="F9:F10"/>
    <mergeCell ref="G9:G10"/>
    <mergeCell ref="C9:C10"/>
    <mergeCell ref="E9:E10"/>
    <mergeCell ref="A1:B1"/>
    <mergeCell ref="F1:K1"/>
    <mergeCell ref="C1:E1"/>
    <mergeCell ref="C2:E2"/>
    <mergeCell ref="D9:D10"/>
    <mergeCell ref="G4:G5"/>
    <mergeCell ref="G6:G7"/>
    <mergeCell ref="F2:K2"/>
    <mergeCell ref="C3:E8"/>
    <mergeCell ref="G3:K3"/>
    <mergeCell ref="A2:B2"/>
    <mergeCell ref="C34:D34"/>
    <mergeCell ref="A28:B28"/>
    <mergeCell ref="A27:D27"/>
    <mergeCell ref="A30:B30"/>
    <mergeCell ref="A32:B32"/>
    <mergeCell ref="A31:B31"/>
    <mergeCell ref="A33:B33"/>
    <mergeCell ref="A34:B34"/>
    <mergeCell ref="C28:D28"/>
    <mergeCell ref="C30:D30"/>
    <mergeCell ref="C31:D31"/>
    <mergeCell ref="C32:D32"/>
    <mergeCell ref="C33:D33"/>
    <mergeCell ref="A29:B29"/>
    <mergeCell ref="C29:D29"/>
  </mergeCells>
  <dataValidations count="3">
    <dataValidation type="list" allowBlank="1" showInputMessage="1" showErrorMessage="1" sqref="D40 D11:D26" xr:uid="{E939F7F2-8C08-4BBD-B53E-5D2C9F347375}">
      <formula1>$AJ$6:$AJ$10</formula1>
    </dataValidation>
    <dataValidation type="list" allowBlank="1" showInputMessage="1" showErrorMessage="1" sqref="F40 F11:F26" xr:uid="{7AA62218-F120-46A3-9FDF-F3740EFE3CE7}">
      <formula1>$AS$5:$AS$8</formula1>
    </dataValidation>
    <dataValidation type="list" allowBlank="1" showInputMessage="1" showErrorMessage="1" sqref="G40 G11:G26" xr:uid="{35718C13-301A-48FE-82B6-888B67C5A359}">
      <formula1>$AO$14:$AO$17</formula1>
    </dataValidation>
  </dataValidations>
  <pageMargins left="0.25" right="0.25" top="0.75" bottom="0.75" header="0.3" footer="0.3"/>
  <pageSetup scale="65" orientation="landscape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INFO"/>
  <dimension ref="D4:F7"/>
  <sheetViews>
    <sheetView showGridLines="0" workbookViewId="0"/>
  </sheetViews>
  <sheetFormatPr defaultRowHeight="13.8"/>
  <sheetData>
    <row r="4" spans="4:6">
      <c r="F4" t="s">
        <v>13</v>
      </c>
    </row>
    <row r="7" spans="4:6" ht="24.6">
      <c r="D7" s="2" t="s">
        <v>12</v>
      </c>
      <c r="E7" s="1"/>
    </row>
  </sheetData>
  <sheetProtection password="EC52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Kalkultor_Lehmana</vt:lpstr>
      <vt:lpstr>Kalkultor_Lehmana!Obszar_wydruku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Steller</dc:creator>
  <cp:lastModifiedBy>Gaciarz,Mateusz,RZESZOW,SHE</cp:lastModifiedBy>
  <cp:lastPrinted>2021-04-30T06:20:12Z</cp:lastPrinted>
  <dcterms:created xsi:type="dcterms:W3CDTF">2010-11-21T15:54:59Z</dcterms:created>
  <dcterms:modified xsi:type="dcterms:W3CDTF">2021-09-28T21:15:37Z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2021-04-29T19:55:29Z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d3eb16d9-33db-454c-bedc-f970cdd6025f</vt:lpwstr>
  </property>
  <property fmtid="{D5CDD505-2E9C-101B-9397-08002B2CF9AE}" pid="8" name="MSIP_Label_1ada0a2f-b917-4d51-b0d0-d418a10c8b23_ContentBits">
    <vt:lpwstr>0</vt:lpwstr>
  </property>
</Properties>
</file>